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ecutive Dashboard" state="visible" r:id="rId4"/>
    <sheet sheetId="2" name="Master T&amp;M Ticket Log" state="visible" r:id="rId5"/>
    <sheet sheetId="3" name="Labor Rates &amp; Calculator" state="visible" r:id="rId6"/>
    <sheet sheetId="4" name="Equipment Rates" state="visible" r:id="rId7"/>
    <sheet sheetId="5" name="Materials &amp; Markups" state="visible" r:id="rId8"/>
    <sheet sheetId="6" name="Pay App Attachment" state="visible" r:id="rId9"/>
  </sheets>
  <calcPr calcId="171027" fullCalcOnLoad="1"/>
</workbook>
</file>

<file path=xl/sharedStrings.xml><?xml version="1.0" encoding="utf-8"?>
<sst xmlns="http://schemas.openxmlformats.org/spreadsheetml/2006/main" count="222" uniqueCount="180">
  <si>
    <t>TRAKSLIP CONSTRUCTION T&amp;M EXECUTIVE DASHBOARD</t>
  </si>
  <si>
    <t>⚡ 100% FORMULA WORKBOOK: Click any cell below to see dynamic =SUMIF(), =COUNTIF(), and cross-sheet formulas.</t>
  </si>
  <si>
    <t>TOTAL T&amp;M TRACKED</t>
  </si>
  <si>
    <t>APPROVED &amp; BILLED</t>
  </si>
  <si>
    <t>PENDING GC SIGN-OFF</t>
  </si>
  <si>
    <t>UNDER REVIEW / DISPUTED</t>
  </si>
  <si>
    <t>% PORTFOLIO BILLED</t>
  </si>
  <si>
    <t>1. Subcontractor Trade Specialty Breakdown (Formulas)</t>
  </si>
  <si>
    <t>Trade Specialty</t>
  </si>
  <si>
    <t>Ticket Count</t>
  </si>
  <si>
    <t>Approved Billed ($)</t>
  </si>
  <si>
    <t>Pending / Review ($)</t>
  </si>
  <si>
    <t>% Billed Ratio</t>
  </si>
  <si>
    <t>Electrical Contractor</t>
  </si>
  <si>
    <t>Mechanical / HVAC</t>
  </si>
  <si>
    <t>Plumbing Subcontractor</t>
  </si>
  <si>
    <t>Drywall &amp; Framing</t>
  </si>
  <si>
    <t>Structural Steel</t>
  </si>
  <si>
    <t>Total Portfolio Summary</t>
  </si>
  <si>
    <t>2. Portfolio Cost Breakdown by Category (Formulas)</t>
  </si>
  <si>
    <t>Cost Category</t>
  </si>
  <si>
    <t>Formulas Reference</t>
  </si>
  <si>
    <t>Total Amount ($)</t>
  </si>
  <si>
    <t>% of Total Value</t>
  </si>
  <si>
    <t>Labor Costs</t>
  </si>
  <si>
    <t>SUM('Master T&amp;M Ticket Log'!F4:F30)</t>
  </si>
  <si>
    <t>Equipment Rentals</t>
  </si>
  <si>
    <t>SUM('Master T&amp;M Ticket Log'!G4:G30)</t>
  </si>
  <si>
    <t>Material Purchases</t>
  </si>
  <si>
    <t>SUM('Master T&amp;M Ticket Log'!H4:H30)</t>
  </si>
  <si>
    <t>Contract Markups</t>
  </si>
  <si>
    <t>SUM('Master T&amp;M Ticket Log'!I4:I30)</t>
  </si>
  <si>
    <t>Total Verified Costs</t>
  </si>
  <si>
    <t>SUM(D22:D25)</t>
  </si>
  <si>
    <t>MASTER TIME AND MATERIAL (T&amp;M) FIELD TICKET LOG</t>
  </si>
  <si>
    <t>Ticket ID</t>
  </si>
  <si>
    <t>Date</t>
  </si>
  <si>
    <t>Subcontractor / Trade</t>
  </si>
  <si>
    <t>Location / Grid</t>
  </si>
  <si>
    <t>Scope Description</t>
  </si>
  <si>
    <t>Labor ($)</t>
  </si>
  <si>
    <t>Equipment ($)</t>
  </si>
  <si>
    <t>Material ($)</t>
  </si>
  <si>
    <t>Markup ($)</t>
  </si>
  <si>
    <t>Total Value ($)</t>
  </si>
  <si>
    <t>GC Approval Status</t>
  </si>
  <si>
    <t>Signed By / Verification</t>
  </si>
  <si>
    <t>TM-2026-001</t>
  </si>
  <si>
    <t>2026-08-01</t>
  </si>
  <si>
    <t>ABC Electrical</t>
  </si>
  <si>
    <t>Floor 3 - Area B</t>
  </si>
  <si>
    <t>Relocate conduit interfering with HVAC ductwork</t>
  </si>
  <si>
    <t>APPROVED</t>
  </si>
  <si>
    <t>J. Smith (GC Super)</t>
  </si>
  <si>
    <t>TM-2026-002</t>
  </si>
  <si>
    <t>2026-08-02</t>
  </si>
  <si>
    <t>Apex Plumbing</t>
  </si>
  <si>
    <t>Basement Core</t>
  </si>
  <si>
    <t>Emergency pump out of standing groundwater</t>
  </si>
  <si>
    <t>TM-2026-003</t>
  </si>
  <si>
    <t>2026-08-03</t>
  </si>
  <si>
    <t>Vanguard HVAC</t>
  </si>
  <si>
    <t>Roof Deck West</t>
  </si>
  <si>
    <t>Additional crane rigging for revised chiller location</t>
  </si>
  <si>
    <t>PENDING SIGNATURE</t>
  </si>
  <si>
    <t>Pending Field Sign</t>
  </si>
  <si>
    <t>TM-2026-004</t>
  </si>
  <si>
    <t>2026-08-04</t>
  </si>
  <si>
    <t>Precision Drywall</t>
  </si>
  <si>
    <t>Floor 2 - Room 204</t>
  </si>
  <si>
    <t>Demo and rebuild shaft wall per ASI-014</t>
  </si>
  <si>
    <t>M. Davis (PM)</t>
  </si>
  <si>
    <t>TM-2026-005</t>
  </si>
  <si>
    <t>2026-08-05</t>
  </si>
  <si>
    <t>Exterior South</t>
  </si>
  <si>
    <t>Temp power feed install for tower crane</t>
  </si>
  <si>
    <t>UNDER REVIEW</t>
  </si>
  <si>
    <t>Disputed Rates</t>
  </si>
  <si>
    <t>TM-2026-006</t>
  </si>
  <si>
    <t>2026-08-06</t>
  </si>
  <si>
    <t>Titan Steel</t>
  </si>
  <si>
    <t>Grid A-4 Column</t>
  </si>
  <si>
    <t>Weld reinforcement plates due to RFI-088 shift</t>
  </si>
  <si>
    <t>TM-2026-007</t>
  </si>
  <si>
    <t>2026-08-07</t>
  </si>
  <si>
    <t>Floor 4 Restrooms</t>
  </si>
  <si>
    <t>Reroute waste line for structural beam clash</t>
  </si>
  <si>
    <t>TM-2026-008</t>
  </si>
  <si>
    <t>2026-08-08</t>
  </si>
  <si>
    <t>Mechanical Room</t>
  </si>
  <si>
    <t>Install extra fire dampers required by inspector</t>
  </si>
  <si>
    <t>Sent via Email</t>
  </si>
  <si>
    <t>TM-2026-009</t>
  </si>
  <si>
    <t>2026-08-09</t>
  </si>
  <si>
    <t>Lobby Ceiling</t>
  </si>
  <si>
    <t>Soffit framing detail change per Architect memo</t>
  </si>
  <si>
    <t>TM-2026-010</t>
  </si>
  <si>
    <t>2026-08-10</t>
  </si>
  <si>
    <t>Floor 5 Data Room</t>
  </si>
  <si>
    <t>Pull dedicated feed for UPS backup rack</t>
  </si>
  <si>
    <t>TM-2026-011</t>
  </si>
  <si>
    <t>2026-08-11</t>
  </si>
  <si>
    <t>Mezzanine South</t>
  </si>
  <si>
    <t>Modify stair stringer attachment for structural clearance</t>
  </si>
  <si>
    <t>TM-2026-012</t>
  </si>
  <si>
    <t>2026-08-12</t>
  </si>
  <si>
    <t>Penthouse Mech</t>
  </si>
  <si>
    <t>Install high-pressure relief valve system</t>
  </si>
  <si>
    <t>TM-2026-013</t>
  </si>
  <si>
    <t>2026-08-13</t>
  </si>
  <si>
    <t>Floor 1 West</t>
  </si>
  <si>
    <t>Extend ductwork for revised conference room layout</t>
  </si>
  <si>
    <t>TM-2026-014</t>
  </si>
  <si>
    <t>2026-08-14</t>
  </si>
  <si>
    <t>Garage Level 1</t>
  </si>
  <si>
    <t>Repair lighting conduit damaged by excavation crew</t>
  </si>
  <si>
    <t>TM-2026-015</t>
  </si>
  <si>
    <t>2026-08-15</t>
  </si>
  <si>
    <t>Floor 6 Hallway</t>
  </si>
  <si>
    <t>Patch dry wall after plumber pipe relocation</t>
  </si>
  <si>
    <t>TOTALS</t>
  </si>
  <si>
    <t>CONTRACTOR APPROVED LABOR RATE MATRIX &amp; AUTOMATED FORMULAS</t>
  </si>
  <si>
    <t>Trade Classification</t>
  </si>
  <si>
    <t>Base Rate ($/hr)</t>
  </si>
  <si>
    <t>Burden Rate ($/hr)</t>
  </si>
  <si>
    <t>Total Cost ($/hr)</t>
  </si>
  <si>
    <t>Markup %</t>
  </si>
  <si>
    <t>Std Billing ($/hr)</t>
  </si>
  <si>
    <t>OT Factor</t>
  </si>
  <si>
    <t>OT Billing ($/hr)</t>
  </si>
  <si>
    <t>DT Factor</t>
  </si>
  <si>
    <t>DT Billing ($/hr)</t>
  </si>
  <si>
    <t>Master Electrician</t>
  </si>
  <si>
    <t>Journeyman Electrician</t>
  </si>
  <si>
    <t>Electrician Apprentice</t>
  </si>
  <si>
    <t>HVAC Senior Technician</t>
  </si>
  <si>
    <t>Plumber Foreman</t>
  </si>
  <si>
    <t>Drywall Journeyman</t>
  </si>
  <si>
    <t>Structural Steel Welder</t>
  </si>
  <si>
    <t>EQUIPMENT RENTAL &amp; OPERATING RATE FORMULA MATRIX</t>
  </si>
  <si>
    <t>Equipment Category / Type</t>
  </si>
  <si>
    <t>Daily Rate ($)</t>
  </si>
  <si>
    <t>Weekly Rate (3.5x)</t>
  </si>
  <si>
    <t>Monthly Rate (3x Wk)</t>
  </si>
  <si>
    <t>Hourly Operating ($/hr)</t>
  </si>
  <si>
    <t>Fuel Surcharge (12%)</t>
  </si>
  <si>
    <t>Total Billed ($/hr)</t>
  </si>
  <si>
    <t>19ft Electric Scissor Lift</t>
  </si>
  <si>
    <t>40ft Articulating Boom Lift</t>
  </si>
  <si>
    <t>Mini Excavator (Kubota KX040)</t>
  </si>
  <si>
    <t>Towable Diesel Generator 45kVA</t>
  </si>
  <si>
    <t>Commercial Air Compressor</t>
  </si>
  <si>
    <t>Concrete Core Drill Rig</t>
  </si>
  <si>
    <t>MATERIAL PURCHASES, TAX, FREIGHT &amp; MARKUP FORMULA LOG</t>
  </si>
  <si>
    <t>Supplier / Vendor</t>
  </si>
  <si>
    <t>Item Description</t>
  </si>
  <si>
    <t>Invoice Subtotal</t>
  </si>
  <si>
    <t>Freight (5%)</t>
  </si>
  <si>
    <t>Sales Tax %</t>
  </si>
  <si>
    <t>Tax Amount ($)</t>
  </si>
  <si>
    <t>Material Cost</t>
  </si>
  <si>
    <t>Billed Total ($)</t>
  </si>
  <si>
    <t>Graybar Electric</t>
  </si>
  <si>
    <t>Conduit, junction boxes, wire nuts</t>
  </si>
  <si>
    <t>Ferguson Plumbing</t>
  </si>
  <si>
    <t>Submersible pump &amp; discharge hose</t>
  </si>
  <si>
    <t>United Rentals</t>
  </si>
  <si>
    <t>Rigging straps and spreader bar</t>
  </si>
  <si>
    <t>US LBM Building</t>
  </si>
  <si>
    <t>Metal studs, track &amp; drywall sheets</t>
  </si>
  <si>
    <t>Anixter Supply</t>
  </si>
  <si>
    <t>4/0 Heavy copper feeder cable</t>
  </si>
  <si>
    <t>MONTHLY T&amp;M CHANGE ORDER SUMMARY (AIA G702 / G703 ATTACHMENT)</t>
  </si>
  <si>
    <t>Item #</t>
  </si>
  <si>
    <t>Description of Extra Work</t>
  </si>
  <si>
    <t>Subcontractor Trade</t>
  </si>
  <si>
    <t>Gross Billed ($)</t>
  </si>
  <si>
    <t>Retainage (5%)</t>
  </si>
  <si>
    <t>Net Payment Due ($)</t>
  </si>
  <si>
    <t>GC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</si>
</sst>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$#,##0.00"/>
    <numFmt numFmtId="165" formatCode="0.0%"/>
    <numFmt numFmtId="166" formatCode="0.0&quot;x&quot;"/>
    <numFmt numFmtId="167" formatCode="0.000%"/>
  </numFmts>
  <fonts count="10" x14ac:knownFonts="1">
    <font>
      <color theme="1"/>
      <family val="2"/>
      <scheme val="minor"/>
      <sz val="11"/>
      <name val="Calibri"/>
    </font>
    <font>
      <b/>
      <color rgb="FFFFFF"/>
      <sz val="16"/>
      <name val="Calibri"/>
    </font>
    <font>
      <i/>
      <color rgb="1E40AF"/>
      <sz val="10"/>
      <name val="Calibri"/>
    </font>
    <font>
      <b/>
      <color rgb="64748B"/>
      <sz val="9"/>
      <name val="Calibri"/>
    </font>
    <font>
      <b/>
      <color rgb="0F172A"/>
      <sz val="16"/>
      <name val="Calibri"/>
    </font>
    <font>
      <b/>
      <color rgb="1E293B"/>
      <sz val="12"/>
      <name val="Calibri"/>
    </font>
    <font>
      <b/>
      <color rgb="FFFFFF"/>
      <sz val="11"/>
      <name val="Calibri"/>
    </font>
    <font>
      <color rgb="334155"/>
      <sz val="11"/>
      <name val="Calibri"/>
    </font>
    <font>
      <b/>
      <color rgb="0F172A"/>
      <sz val="11"/>
      <name val="Calibri"/>
    </font>
    <font>
      <i/>
      <color rgb="64748B"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1E293B"/>
      </patternFill>
    </fill>
    <fill>
      <patternFill patternType="solid">
        <fgColor rgb="EFF6FF"/>
      </patternFill>
    </fill>
    <fill>
      <patternFill patternType="solid">
        <fgColor rgb="F8FAFC"/>
      </patternFill>
    </fill>
    <fill>
      <patternFill patternType="solid">
        <fgColor rgb="DCFCE7"/>
      </patternFill>
    </fill>
    <fill>
      <patternFill patternType="solid">
        <fgColor rgb="FEF3C7"/>
      </patternFill>
    </fill>
    <fill>
      <patternFill patternType="solid">
        <fgColor rgb="FEE2E2"/>
      </patternFill>
    </fill>
    <fill>
      <patternFill patternType="solid">
        <fgColor rgb="15803D"/>
      </patternFill>
    </fill>
  </fills>
  <borders count="5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  <border>
      <left style="thin">
        <color rgb="CBD5E1"/>
      </left>
      <right style="thin">
        <color rgb="CBD5E1"/>
      </right>
      <top style="thin">
        <color rgb="CBD5E1"/>
      </top>
      <bottom/>
      <diagonal/>
    </border>
    <border>
      <left style="thin">
        <color rgb="CBD5E1"/>
      </left>
      <right style="thin">
        <color rgb="CBD5E1"/>
      </right>
      <top/>
      <bottom style="thin">
        <color rgb="CBD5E1"/>
      </bottom>
      <diagonal/>
    </border>
    <border>
      <left/>
      <right/>
      <top style="thin">
        <color rgb="0F172A"/>
      </top>
      <bottom style="double">
        <color rgb="0F172A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164" fontId="4" fillId="7" borderId="3" xfId="0" applyNumberFormat="1" applyFont="1" applyFill="1" applyBorder="1" applyAlignment="1">
      <alignment horizontal="center" vertical="center"/>
    </xf>
    <xf numFmtId="165" fontId="4" fillId="4" borderId="3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right" vertical="center"/>
    </xf>
    <xf numFmtId="0" fontId="7" fillId="0" borderId="1" xfId="0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0" fontId="8" fillId="0" borderId="4" xfId="0" applyFont="1" applyBorder="1"/>
    <xf numFmtId="164" fontId="8" fillId="0" borderId="4" xfId="0" applyNumberFormat="1" applyFont="1" applyBorder="1"/>
    <xf numFmtId="165" fontId="8" fillId="0" borderId="4" xfId="0" applyNumberFormat="1" applyFont="1" applyBorder="1"/>
    <xf numFmtId="0" fontId="9" fillId="0" borderId="1" xfId="0" applyFont="1" applyBorder="1"/>
    <xf numFmtId="164" fontId="7" fillId="0" borderId="1" xfId="0" applyNumberFormat="1" applyFont="1" applyBorder="1" applyAlignment="1">
      <alignment horizontal="right"/>
    </xf>
    <xf numFmtId="0" fontId="7" fillId="5" borderId="1" xfId="0" applyFont="1" applyFill="1" applyBorder="1"/>
    <xf numFmtId="0" fontId="7" fillId="6" borderId="1" xfId="0" applyFont="1" applyFill="1" applyBorder="1"/>
    <xf numFmtId="0" fontId="7" fillId="7" borderId="1" xfId="0" applyFont="1" applyFill="1" applyBorder="1"/>
    <xf numFmtId="0" fontId="6" fillId="8" borderId="0" xfId="0" applyFont="1" applyFill="1"/>
    <xf numFmtId="164" fontId="8" fillId="0" borderId="1" xfId="0" applyNumberFormat="1" applyFont="1" applyBorder="1"/>
    <xf numFmtId="166" fontId="7" fillId="0" borderId="1" xfId="0" applyNumberFormat="1" applyFont="1" applyBorder="1"/>
    <xf numFmtId="167" fontId="7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workbookViewId="0"/>
  </sheetViews>
  <sheetFormatPr defaultRowHeight="15" outlineLevelRow="0" outlineLevelCol="0" x14ac:dyDescent="55"/>
  <cols>
    <col min="1" max="1" width="4" customWidth="1"/>
    <col min="2" max="2" width="30" customWidth="1"/>
    <col min="3" max="6" width="22" customWidth="1"/>
    <col min="7" max="7" width="4" customWidth="1"/>
  </cols>
  <sheetData>
    <row r="2" spans="2:6" x14ac:dyDescent="0.25">
      <c r="B2" s="1" t="s">
        <v>0</v>
      </c>
      <c r="C2" s="1"/>
      <c r="D2" s="1"/>
      <c r="E2" s="1"/>
      <c r="F2" s="1"/>
    </row>
    <row r="3" spans="2:6" x14ac:dyDescent="0.25">
      <c r="B3" s="1"/>
      <c r="C3" s="1"/>
      <c r="D3" s="1"/>
      <c r="E3" s="1"/>
      <c r="F3" s="1"/>
    </row>
    <row r="4" spans="2:6" x14ac:dyDescent="0.25">
      <c r="B4" s="2" t="s">
        <v>1</v>
      </c>
      <c r="C4" s="2"/>
      <c r="D4" s="2"/>
      <c r="E4" s="2"/>
      <c r="F4" s="2"/>
    </row>
    <row r="6" spans="2:6" x14ac:dyDescent="0.25"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</row>
    <row r="7" spans="2:6" x14ac:dyDescent="0.25">
      <c r="B7" s="4">
        <f>SUM('Master T&amp;M Ticket Log'!J4:J30)</f>
        <v>41425.5</v>
      </c>
      <c r="C7" s="5">
        <f>SUMIF('Master T&amp;M Ticket Log'!K4:K30, "APPROVED", 'Master T&amp;M Ticket Log'!J4:J30)</f>
        <v>28588.5</v>
      </c>
      <c r="D7" s="6">
        <f>SUMIF('Master T&amp;M Ticket Log'!K4:K30, "PENDING SIGNATURE", 'Master T&amp;M Ticket Log'!J4:J30)</f>
        <v>7832</v>
      </c>
      <c r="E7" s="7">
        <f>SUMIF('Master T&amp;M Ticket Log'!K4:K30, "UNDER REVIEW", 'Master T&amp;M Ticket Log'!J4:J30)</f>
        <v>5005</v>
      </c>
      <c r="F7" s="8">
        <f>IF(B7&gt;0, C7/B7, 0)</f>
        <v>0.69</v>
      </c>
    </row>
    <row r="10" spans="2:2" x14ac:dyDescent="0.25">
      <c r="B10" s="9" t="s">
        <v>7</v>
      </c>
    </row>
    <row r="11" ht="24" customHeight="1" spans="2:6" x14ac:dyDescent="0.25">
      <c r="B11" s="10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</row>
    <row r="12" spans="2:6" x14ac:dyDescent="0.25">
      <c r="B12" s="12" t="s">
        <v>13</v>
      </c>
      <c r="C12" s="12">
        <f>COUNTIF('Master T&amp;M Ticket Log'!C4:C30, "*Electrical*")</f>
        <v>4</v>
      </c>
      <c r="D12" s="13">
        <f>SUMIFS('Master T&amp;M Ticket Log'!J4:J30, 'Master T&amp;M Ticket Log'!C4:C30, "*Electrical*", 'Master T&amp;M Ticket Log'!K4:K30, "APPROVED")</f>
        <v>9731.5</v>
      </c>
      <c r="E12" s="13">
        <f>SUMIFS('Master T&amp;M Ticket Log'!J4:J30, 'Master T&amp;M Ticket Log'!C4:C30, "*Electrical*", 'Master T&amp;M Ticket Log'!K4:K30, "&lt;&gt;APPROVED")</f>
        <v>5005</v>
      </c>
      <c r="F12" s="14">
        <f>IF((D12+E12)&gt;0, D12/(D12+E12), 0)</f>
        <v>0.6603671156651851</v>
      </c>
    </row>
    <row r="13" spans="2:6" x14ac:dyDescent="0.25">
      <c r="B13" s="12" t="s">
        <v>14</v>
      </c>
      <c r="C13" s="12">
        <f>COUNTIF('Master T&amp;M Ticket Log'!C4:C30, "*HVAC*")</f>
        <v>3</v>
      </c>
      <c r="D13" s="13">
        <f>SUMIFS('Master T&amp;M Ticket Log'!J4:J30, 'Master T&amp;M Ticket Log'!C4:C30, "*HVAC*", 'Master T&amp;M Ticket Log'!K4:K30, "APPROVED")</f>
        <v>3602</v>
      </c>
      <c r="E13" s="13">
        <f>SUMIFS('Master T&amp;M Ticket Log'!J4:J30, 'Master T&amp;M Ticket Log'!C4:C30, "*HVAC*", 'Master T&amp;M Ticket Log'!K4:K30, "&lt;&gt;APPROVED")</f>
        <v>6259</v>
      </c>
      <c r="F13" s="14">
        <f>IF((D13+E13)&gt;0, D13/(D13+E13), 0)</f>
        <v>0.3652773552378055</v>
      </c>
    </row>
    <row r="14" spans="2:6" x14ac:dyDescent="0.25">
      <c r="B14" s="12" t="s">
        <v>15</v>
      </c>
      <c r="C14" s="12">
        <f>COUNTIF('Master T&amp;M Ticket Log'!C4:C30, "*Plumbing*")</f>
        <v>3</v>
      </c>
      <c r="D14" s="13">
        <f>SUMIFS('Master T&amp;M Ticket Log'!J4:J30, 'Master T&amp;M Ticket Log'!C4:C30, "*Plumbing*", 'Master T&amp;M Ticket Log'!K4:K30, "APPROVED")</f>
        <v>3542</v>
      </c>
      <c r="E14" s="13">
        <f>SUMIFS('Master T&amp;M Ticket Log'!J4:J30, 'Master T&amp;M Ticket Log'!C4:C30, "*Plumbing*", 'Master T&amp;M Ticket Log'!K4:K30, "&lt;&gt;APPROVED")</f>
        <v>2727</v>
      </c>
      <c r="F14" s="14">
        <f>IF((D14+E14)&gt;0, D14/(D14+E14), 0)</f>
        <v>0.5650023927261126</v>
      </c>
    </row>
    <row r="15" spans="2:6" x14ac:dyDescent="0.25">
      <c r="B15" s="12" t="s">
        <v>16</v>
      </c>
      <c r="C15" s="12">
        <f>COUNTIF('Master T&amp;M Ticket Log'!C4:C30, "*Drywall*")</f>
        <v>3</v>
      </c>
      <c r="D15" s="13">
        <f>SUMIFS('Master T&amp;M Ticket Log'!J4:J30, 'Master T&amp;M Ticket Log'!C4:C30, "*Drywall*", 'Master T&amp;M Ticket Log'!K4:K30, "APPROVED")</f>
        <v>4715</v>
      </c>
      <c r="E15" s="13">
        <f>SUMIFS('Master T&amp;M Ticket Log'!J4:J30, 'Master T&amp;M Ticket Log'!C4:C30, "*Drywall*", 'Master T&amp;M Ticket Log'!K4:K30, "&lt;&gt;APPROVED")</f>
        <v>0</v>
      </c>
      <c r="F15" s="14">
        <f>IF((D15+E15)&gt;0, D15/(D15+E15), 0)</f>
        <v>1</v>
      </c>
    </row>
    <row r="16" spans="2:6" x14ac:dyDescent="0.25">
      <c r="B16" s="12" t="s">
        <v>17</v>
      </c>
      <c r="C16" s="12">
        <f>COUNTIF('Master T&amp;M Ticket Log'!C4:C30, "*Steel*")</f>
        <v>2</v>
      </c>
      <c r="D16" s="13">
        <f>SUMIFS('Master T&amp;M Ticket Log'!J4:J30, 'Master T&amp;M Ticket Log'!C4:C30, "*Steel*", 'Master T&amp;M Ticket Log'!K4:K30, "APPROVED")</f>
        <v>6998</v>
      </c>
      <c r="E16" s="13">
        <f>SUMIFS('Master T&amp;M Ticket Log'!J4:J30, 'Master T&amp;M Ticket Log'!C4:C30, "*Steel*", 'Master T&amp;M Ticket Log'!K4:K30, "&lt;&gt;APPROVED")</f>
        <v>0</v>
      </c>
      <c r="F16" s="14">
        <f>IF((D16+E16)&gt;0, D16/(D16+E16), 0)</f>
        <v>1</v>
      </c>
    </row>
    <row r="17" spans="2:6" x14ac:dyDescent="0.25">
      <c r="B17" s="15" t="s">
        <v>18</v>
      </c>
      <c r="C17" s="15">
        <f>SUM(C12:C16)</f>
        <v>15</v>
      </c>
      <c r="D17" s="16">
        <f>SUM(D12:D16)</f>
        <v>28588.5</v>
      </c>
      <c r="E17" s="16">
        <f>SUM(E12:E16)</f>
        <v>13991</v>
      </c>
      <c r="F17" s="17">
        <f>IF((D17+E17)&gt;0, D17/(D17+E17), 0)</f>
        <v>0.671</v>
      </c>
    </row>
    <row r="20" spans="2:2" x14ac:dyDescent="0.25">
      <c r="B20" s="9" t="s">
        <v>19</v>
      </c>
    </row>
    <row r="21" ht="24" customHeight="1" spans="2:5" x14ac:dyDescent="0.25">
      <c r="B21" s="10" t="s">
        <v>20</v>
      </c>
      <c r="C21" s="11" t="s">
        <v>21</v>
      </c>
      <c r="D21" s="11" t="s">
        <v>22</v>
      </c>
      <c r="E21" s="11" t="s">
        <v>23</v>
      </c>
    </row>
    <row r="22" spans="2:5" x14ac:dyDescent="0.25">
      <c r="B22" s="12" t="s">
        <v>24</v>
      </c>
      <c r="C22" s="18" t="s">
        <v>25</v>
      </c>
      <c r="D22" s="13">
        <f>SUM('Master T&amp;M Ticket Log'!F4:F30)</f>
        <v>17318.5</v>
      </c>
      <c r="E22" s="14">
        <f>IF(B7&gt;0, D22/B7, 0)</f>
        <v>0.41806375300237775</v>
      </c>
    </row>
    <row r="23" spans="2:5" x14ac:dyDescent="0.25">
      <c r="B23" s="12" t="s">
        <v>26</v>
      </c>
      <c r="C23" s="18" t="s">
        <v>27</v>
      </c>
      <c r="D23" s="13">
        <f>SUM('Master T&amp;M Ticket Log'!G4:G30)</f>
        <v>5680</v>
      </c>
      <c r="E23" s="14">
        <f>IF(B7&gt;0, D23/B7, 0)</f>
        <v>0.1371136135954907</v>
      </c>
    </row>
    <row r="24" spans="2:5" x14ac:dyDescent="0.25">
      <c r="B24" s="12" t="s">
        <v>28</v>
      </c>
      <c r="C24" s="18" t="s">
        <v>29</v>
      </c>
      <c r="D24" s="13">
        <f>SUM('Master T&amp;M Ticket Log'!H4:H30)</f>
        <v>14710</v>
      </c>
      <c r="E24" s="14">
        <f>IF(B7&gt;0, D24/B7, 0)</f>
        <v>0.3550952915474768</v>
      </c>
    </row>
    <row r="25" spans="2:5" x14ac:dyDescent="0.25">
      <c r="B25" s="12" t="s">
        <v>30</v>
      </c>
      <c r="C25" s="18" t="s">
        <v>31</v>
      </c>
      <c r="D25" s="13">
        <f>SUM('Master T&amp;M Ticket Log'!I4:I30)</f>
        <v>3717</v>
      </c>
      <c r="E25" s="14">
        <f>IF(B7&gt;0, D25/B7, 0)</f>
        <v>0.08972734185465474</v>
      </c>
    </row>
    <row r="26" spans="2:5" x14ac:dyDescent="0.25">
      <c r="B26" s="15" t="s">
        <v>32</v>
      </c>
      <c r="C26" s="15" t="s">
        <v>33</v>
      </c>
      <c r="D26" s="16">
        <f>SUM(D22:D25)</f>
        <v>41425.5</v>
      </c>
      <c r="E26" s="17">
        <f>SUM(E22:E25)</f>
        <v>1</v>
      </c>
    </row>
  </sheetData>
  <mergeCells count="2">
    <mergeCell ref="B2:F3"/>
    <mergeCell ref="B4:F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/>
  </sheetViews>
  <sheetFormatPr defaultRowHeight="15" outlineLevelRow="0" outlineLevelCol="0" x14ac:dyDescent="55"/>
  <cols>
    <col min="1" max="1" width="14" customWidth="1"/>
    <col min="2" max="2" width="13" customWidth="1"/>
    <col min="3" max="3" width="24" customWidth="1"/>
    <col min="4" max="4" width="18" customWidth="1"/>
    <col min="5" max="5" width="38" customWidth="1"/>
    <col min="6" max="9" width="14" customWidth="1"/>
    <col min="10" max="10" width="16" customWidth="1"/>
    <col min="11" max="11" width="22" customWidth="1"/>
    <col min="12" max="12" width="24" customWidth="1"/>
  </cols>
  <sheetData>
    <row r="1" ht="30" customHeight="1" spans="1:12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ht="24" customHeight="1" spans="1:12" x14ac:dyDescent="0.25">
      <c r="A3" s="10" t="s">
        <v>35</v>
      </c>
      <c r="B3" s="10" t="s">
        <v>36</v>
      </c>
      <c r="C3" s="10" t="s">
        <v>37</v>
      </c>
      <c r="D3" s="10" t="s">
        <v>38</v>
      </c>
      <c r="E3" s="10" t="s">
        <v>39</v>
      </c>
      <c r="F3" s="11" t="s">
        <v>40</v>
      </c>
      <c r="G3" s="11" t="s">
        <v>41</v>
      </c>
      <c r="H3" s="11" t="s">
        <v>42</v>
      </c>
      <c r="I3" s="11" t="s">
        <v>43</v>
      </c>
      <c r="J3" s="11" t="s">
        <v>44</v>
      </c>
      <c r="K3" s="10" t="s">
        <v>45</v>
      </c>
      <c r="L3" s="10" t="s">
        <v>46</v>
      </c>
    </row>
    <row r="4" ht="20" customHeight="1" spans="1:12" x14ac:dyDescent="0.25">
      <c r="A4" s="12" t="s">
        <v>47</v>
      </c>
      <c r="B4" s="12" t="s">
        <v>48</v>
      </c>
      <c r="C4" s="12" t="s">
        <v>49</v>
      </c>
      <c r="D4" s="12" t="s">
        <v>50</v>
      </c>
      <c r="E4" s="12" t="s">
        <v>51</v>
      </c>
      <c r="F4" s="19">
        <v>928.5</v>
      </c>
      <c r="G4" s="19">
        <v>275</v>
      </c>
      <c r="H4" s="19">
        <v>1240</v>
      </c>
      <c r="I4" s="19">
        <f>H4*0.15</f>
        <v>246</v>
      </c>
      <c r="J4" s="19">
        <f>F4+G4+H4+I4</f>
        <v>2689.5</v>
      </c>
      <c r="K4" s="20" t="s">
        <v>52</v>
      </c>
      <c r="L4" s="12" t="s">
        <v>53</v>
      </c>
    </row>
    <row r="5" ht="20" customHeight="1" spans="1:12" x14ac:dyDescent="0.25">
      <c r="A5" s="12" t="s">
        <v>54</v>
      </c>
      <c r="B5" s="12" t="s">
        <v>55</v>
      </c>
      <c r="C5" s="12" t="s">
        <v>56</v>
      </c>
      <c r="D5" s="12" t="s">
        <v>57</v>
      </c>
      <c r="E5" s="12" t="s">
        <v>58</v>
      </c>
      <c r="F5" s="19">
        <v>640</v>
      </c>
      <c r="G5" s="19">
        <v>450</v>
      </c>
      <c r="H5" s="19">
        <v>310</v>
      </c>
      <c r="I5" s="19">
        <f>H5*0.15</f>
        <v>140</v>
      </c>
      <c r="J5" s="19">
        <f>F5+G5+H5+I5</f>
        <v>1540</v>
      </c>
      <c r="K5" s="20" t="s">
        <v>52</v>
      </c>
      <c r="L5" s="12" t="s">
        <v>53</v>
      </c>
    </row>
    <row r="6" ht="20" customHeight="1" spans="1:12" x14ac:dyDescent="0.25">
      <c r="A6" s="12" t="s">
        <v>59</v>
      </c>
      <c r="B6" s="12" t="s">
        <v>60</v>
      </c>
      <c r="C6" s="12" t="s">
        <v>61</v>
      </c>
      <c r="D6" s="12" t="s">
        <v>62</v>
      </c>
      <c r="E6" s="12" t="s">
        <v>63</v>
      </c>
      <c r="F6" s="19">
        <v>1450</v>
      </c>
      <c r="G6" s="19">
        <v>1200</v>
      </c>
      <c r="H6" s="19">
        <v>480</v>
      </c>
      <c r="I6" s="19">
        <f>H6*0.15</f>
        <v>313</v>
      </c>
      <c r="J6" s="19">
        <f>F6+G6+H6+I6</f>
        <v>3443</v>
      </c>
      <c r="K6" s="21" t="s">
        <v>64</v>
      </c>
      <c r="L6" s="12" t="s">
        <v>65</v>
      </c>
    </row>
    <row r="7" ht="20" customHeight="1" spans="1:12" x14ac:dyDescent="0.25">
      <c r="A7" s="12" t="s">
        <v>66</v>
      </c>
      <c r="B7" s="12" t="s">
        <v>67</v>
      </c>
      <c r="C7" s="12" t="s">
        <v>68</v>
      </c>
      <c r="D7" s="12" t="s">
        <v>69</v>
      </c>
      <c r="E7" s="12" t="s">
        <v>70</v>
      </c>
      <c r="F7" s="19">
        <v>1120</v>
      </c>
      <c r="G7" s="19">
        <v>150</v>
      </c>
      <c r="H7" s="19">
        <v>890</v>
      </c>
      <c r="I7" s="19">
        <f>H7*0.15</f>
        <v>216</v>
      </c>
      <c r="J7" s="19">
        <f>F7+G7+H7+I7</f>
        <v>2376</v>
      </c>
      <c r="K7" s="20" t="s">
        <v>52</v>
      </c>
      <c r="L7" s="12" t="s">
        <v>71</v>
      </c>
    </row>
    <row r="8" ht="20" customHeight="1" spans="1:12" x14ac:dyDescent="0.25">
      <c r="A8" s="12" t="s">
        <v>72</v>
      </c>
      <c r="B8" s="12" t="s">
        <v>73</v>
      </c>
      <c r="C8" s="12" t="s">
        <v>49</v>
      </c>
      <c r="D8" s="12" t="s">
        <v>74</v>
      </c>
      <c r="E8" s="12" t="s">
        <v>75</v>
      </c>
      <c r="F8" s="19">
        <v>1850</v>
      </c>
      <c r="G8" s="19">
        <v>600</v>
      </c>
      <c r="H8" s="19">
        <v>2100</v>
      </c>
      <c r="I8" s="19">
        <f>H8*0.15</f>
        <v>455</v>
      </c>
      <c r="J8" s="19">
        <f>F8+G8+H8+I8</f>
        <v>5005</v>
      </c>
      <c r="K8" s="22" t="s">
        <v>76</v>
      </c>
      <c r="L8" s="12" t="s">
        <v>77</v>
      </c>
    </row>
    <row r="9" ht="20" customHeight="1" spans="1:12" x14ac:dyDescent="0.25">
      <c r="A9" s="12" t="s">
        <v>78</v>
      </c>
      <c r="B9" s="12" t="s">
        <v>79</v>
      </c>
      <c r="C9" s="12" t="s">
        <v>80</v>
      </c>
      <c r="D9" s="12" t="s">
        <v>81</v>
      </c>
      <c r="E9" s="12" t="s">
        <v>82</v>
      </c>
      <c r="F9" s="19">
        <v>1350</v>
      </c>
      <c r="G9" s="19">
        <v>400</v>
      </c>
      <c r="H9" s="19">
        <v>650</v>
      </c>
      <c r="I9" s="19">
        <f>H9*0.15</f>
        <v>240</v>
      </c>
      <c r="J9" s="19">
        <f>F9+G9+H9+I9</f>
        <v>2640</v>
      </c>
      <c r="K9" s="20" t="s">
        <v>52</v>
      </c>
      <c r="L9" s="12" t="s">
        <v>53</v>
      </c>
    </row>
    <row r="10" ht="20" customHeight="1" spans="1:12" x14ac:dyDescent="0.25">
      <c r="A10" s="12" t="s">
        <v>83</v>
      </c>
      <c r="B10" s="12" t="s">
        <v>84</v>
      </c>
      <c r="C10" s="12" t="s">
        <v>56</v>
      </c>
      <c r="D10" s="12" t="s">
        <v>85</v>
      </c>
      <c r="E10" s="12" t="s">
        <v>86</v>
      </c>
      <c r="F10" s="19">
        <v>880</v>
      </c>
      <c r="G10" s="19">
        <v>200</v>
      </c>
      <c r="H10" s="19">
        <v>740</v>
      </c>
      <c r="I10" s="19">
        <f>H10*0.15</f>
        <v>182</v>
      </c>
      <c r="J10" s="19">
        <f>F10+G10+H10+I10</f>
        <v>2002</v>
      </c>
      <c r="K10" s="20" t="s">
        <v>52</v>
      </c>
      <c r="L10" s="12" t="s">
        <v>53</v>
      </c>
    </row>
    <row r="11" ht="20" customHeight="1" spans="1:12" x14ac:dyDescent="0.25">
      <c r="A11" s="12" t="s">
        <v>87</v>
      </c>
      <c r="B11" s="12" t="s">
        <v>88</v>
      </c>
      <c r="C11" s="12" t="s">
        <v>61</v>
      </c>
      <c r="D11" s="12" t="s">
        <v>89</v>
      </c>
      <c r="E11" s="12" t="s">
        <v>90</v>
      </c>
      <c r="F11" s="19">
        <v>960</v>
      </c>
      <c r="G11" s="19">
        <v>180</v>
      </c>
      <c r="H11" s="19">
        <v>1420</v>
      </c>
      <c r="I11" s="19">
        <f>H11*0.15</f>
        <v>256</v>
      </c>
      <c r="J11" s="19">
        <f>F11+G11+H11+I11</f>
        <v>2816</v>
      </c>
      <c r="K11" s="21" t="s">
        <v>64</v>
      </c>
      <c r="L11" s="12" t="s">
        <v>91</v>
      </c>
    </row>
    <row r="12" ht="20" customHeight="1" spans="1:12" x14ac:dyDescent="0.25">
      <c r="A12" s="12" t="s">
        <v>92</v>
      </c>
      <c r="B12" s="12" t="s">
        <v>93</v>
      </c>
      <c r="C12" s="12" t="s">
        <v>68</v>
      </c>
      <c r="D12" s="12" t="s">
        <v>94</v>
      </c>
      <c r="E12" s="12" t="s">
        <v>95</v>
      </c>
      <c r="F12" s="19">
        <v>1240</v>
      </c>
      <c r="G12" s="19">
        <v>220</v>
      </c>
      <c r="H12" s="19">
        <v>560</v>
      </c>
      <c r="I12" s="19">
        <f>H12*0.15</f>
        <v>202</v>
      </c>
      <c r="J12" s="19">
        <f>F12+G12+H12+I12</f>
        <v>2222</v>
      </c>
      <c r="K12" s="20" t="s">
        <v>52</v>
      </c>
      <c r="L12" s="12" t="s">
        <v>71</v>
      </c>
    </row>
    <row r="13" ht="20" customHeight="1" spans="1:12" x14ac:dyDescent="0.25">
      <c r="A13" s="12" t="s">
        <v>96</v>
      </c>
      <c r="B13" s="12" t="s">
        <v>97</v>
      </c>
      <c r="C13" s="12" t="s">
        <v>49</v>
      </c>
      <c r="D13" s="12" t="s">
        <v>98</v>
      </c>
      <c r="E13" s="12" t="s">
        <v>99</v>
      </c>
      <c r="F13" s="19">
        <v>1050</v>
      </c>
      <c r="G13" s="19">
        <v>300</v>
      </c>
      <c r="H13" s="19">
        <v>1850</v>
      </c>
      <c r="I13" s="19">
        <f>H13*0.15</f>
        <v>320</v>
      </c>
      <c r="J13" s="19">
        <f>F13+G13+H13+I13</f>
        <v>3520</v>
      </c>
      <c r="K13" s="20" t="s">
        <v>52</v>
      </c>
      <c r="L13" s="12" t="s">
        <v>53</v>
      </c>
    </row>
    <row r="14" ht="20" customHeight="1" spans="1:12" x14ac:dyDescent="0.25">
      <c r="A14" s="12" t="s">
        <v>100</v>
      </c>
      <c r="B14" s="12" t="s">
        <v>101</v>
      </c>
      <c r="C14" s="12" t="s">
        <v>80</v>
      </c>
      <c r="D14" s="12" t="s">
        <v>102</v>
      </c>
      <c r="E14" s="12" t="s">
        <v>103</v>
      </c>
      <c r="F14" s="19">
        <v>1600</v>
      </c>
      <c r="G14" s="19">
        <v>550</v>
      </c>
      <c r="H14" s="19">
        <v>920</v>
      </c>
      <c r="I14" s="19">
        <f>H14*0.15</f>
        <v>307</v>
      </c>
      <c r="J14" s="19">
        <f>F14+G14+H14+I14</f>
        <v>3377</v>
      </c>
      <c r="K14" s="20" t="s">
        <v>52</v>
      </c>
      <c r="L14" s="12" t="s">
        <v>53</v>
      </c>
    </row>
    <row r="15" ht="20" customHeight="1" spans="1:12" x14ac:dyDescent="0.25">
      <c r="A15" s="12" t="s">
        <v>104</v>
      </c>
      <c r="B15" s="12" t="s">
        <v>105</v>
      </c>
      <c r="C15" s="12" t="s">
        <v>56</v>
      </c>
      <c r="D15" s="12" t="s">
        <v>106</v>
      </c>
      <c r="E15" s="12" t="s">
        <v>107</v>
      </c>
      <c r="F15" s="19">
        <v>1150</v>
      </c>
      <c r="G15" s="19">
        <v>320</v>
      </c>
      <c r="H15" s="19">
        <v>1100</v>
      </c>
      <c r="I15" s="19">
        <f>H15*0.15</f>
        <v>257</v>
      </c>
      <c r="J15" s="19">
        <f>F15+G15+H15+I15</f>
        <v>2827</v>
      </c>
      <c r="K15" s="21" t="s">
        <v>64</v>
      </c>
      <c r="L15" s="12" t="s">
        <v>65</v>
      </c>
    </row>
    <row r="16" ht="20" customHeight="1" spans="1:12" x14ac:dyDescent="0.25">
      <c r="A16" s="12" t="s">
        <v>108</v>
      </c>
      <c r="B16" s="12" t="s">
        <v>109</v>
      </c>
      <c r="C16" s="12" t="s">
        <v>61</v>
      </c>
      <c r="D16" s="12" t="s">
        <v>110</v>
      </c>
      <c r="E16" s="12" t="s">
        <v>111</v>
      </c>
      <c r="F16" s="19">
        <v>1380</v>
      </c>
      <c r="G16" s="19">
        <v>250</v>
      </c>
      <c r="H16" s="19">
        <v>1450</v>
      </c>
      <c r="I16" s="19">
        <f>H16*0.15</f>
        <v>308</v>
      </c>
      <c r="J16" s="19">
        <f>F16+G16+H16+I16</f>
        <v>3388</v>
      </c>
      <c r="K16" s="20" t="s">
        <v>52</v>
      </c>
      <c r="L16" s="12" t="s">
        <v>71</v>
      </c>
    </row>
    <row r="17" ht="20" customHeight="1" spans="1:12" x14ac:dyDescent="0.25">
      <c r="A17" s="12" t="s">
        <v>112</v>
      </c>
      <c r="B17" s="12" t="s">
        <v>113</v>
      </c>
      <c r="C17" s="12" t="s">
        <v>49</v>
      </c>
      <c r="D17" s="12" t="s">
        <v>114</v>
      </c>
      <c r="E17" s="12" t="s">
        <v>115</v>
      </c>
      <c r="F17" s="19">
        <v>820</v>
      </c>
      <c r="G17" s="19">
        <v>190</v>
      </c>
      <c r="H17" s="19">
        <v>640</v>
      </c>
      <c r="I17" s="19">
        <f>H17*0.15</f>
        <v>165</v>
      </c>
      <c r="J17" s="19">
        <f>F17+G17+H17+I17</f>
        <v>1815</v>
      </c>
      <c r="K17" s="20" t="s">
        <v>52</v>
      </c>
      <c r="L17" s="12" t="s">
        <v>53</v>
      </c>
    </row>
    <row r="18" ht="20" customHeight="1" spans="1:12" x14ac:dyDescent="0.25">
      <c r="A18" s="12" t="s">
        <v>116</v>
      </c>
      <c r="B18" s="12" t="s">
        <v>117</v>
      </c>
      <c r="C18" s="12" t="s">
        <v>68</v>
      </c>
      <c r="D18" s="12" t="s">
        <v>118</v>
      </c>
      <c r="E18" s="12" t="s">
        <v>119</v>
      </c>
      <c r="F18" s="19">
        <v>750</v>
      </c>
      <c r="G18" s="19">
        <v>100</v>
      </c>
      <c r="H18" s="19">
        <v>320</v>
      </c>
      <c r="I18" s="19">
        <f>H18*0.15</f>
        <v>117</v>
      </c>
      <c r="J18" s="19">
        <f>F18+G18+H18+I18</f>
        <v>1287</v>
      </c>
      <c r="K18" s="20" t="s">
        <v>52</v>
      </c>
      <c r="L18" s="12" t="s">
        <v>71</v>
      </c>
    </row>
    <row r="19" spans="1:10" x14ac:dyDescent="0.25">
      <c r="A19" s="15" t="s">
        <v>120</v>
      </c>
      <c r="F19" s="16">
        <f>SUM(F4:F18)</f>
        <v>17318.5</v>
      </c>
      <c r="G19" s="16">
        <f>SUM(G4:G18)</f>
        <v>5680</v>
      </c>
      <c r="H19" s="16">
        <f>SUM(H4:H18)</f>
        <v>14710</v>
      </c>
      <c r="I19" s="16">
        <f>SUM(I4:I18)</f>
        <v>3717</v>
      </c>
      <c r="J19" s="16">
        <f>SUM(J4:J18)</f>
        <v>41425.5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outlineLevelRow="0" outlineLevelCol="0" x14ac:dyDescent="55"/>
  <cols>
    <col min="1" max="1" width="28" customWidth="1"/>
    <col min="2" max="2" width="16" customWidth="1"/>
    <col min="3" max="3" width="18" customWidth="1"/>
    <col min="4" max="4" width="16" customWidth="1"/>
    <col min="5" max="5" width="14" customWidth="1"/>
    <col min="6" max="6" width="18" customWidth="1"/>
    <col min="7" max="7" width="14" customWidth="1"/>
    <col min="8" max="8" width="18" customWidth="1"/>
    <col min="9" max="9" width="14" customWidth="1"/>
    <col min="10" max="10" width="18" customWidth="1"/>
  </cols>
  <sheetData>
    <row r="1" spans="1:10" x14ac:dyDescent="0.25">
      <c r="A1" s="1" t="s">
        <v>121</v>
      </c>
      <c r="B1" s="1"/>
      <c r="C1" s="1"/>
      <c r="D1" s="1"/>
      <c r="E1" s="1"/>
      <c r="F1" s="1"/>
      <c r="G1" s="1"/>
      <c r="H1" s="1"/>
      <c r="I1" s="1"/>
      <c r="J1" s="1"/>
    </row>
    <row r="3" ht="24" customHeight="1" spans="1:10" x14ac:dyDescent="0.25">
      <c r="A3" s="23" t="s">
        <v>122</v>
      </c>
      <c r="B3" s="23" t="s">
        <v>123</v>
      </c>
      <c r="C3" s="23" t="s">
        <v>124</v>
      </c>
      <c r="D3" s="23" t="s">
        <v>125</v>
      </c>
      <c r="E3" s="23" t="s">
        <v>126</v>
      </c>
      <c r="F3" s="23" t="s">
        <v>127</v>
      </c>
      <c r="G3" s="23" t="s">
        <v>128</v>
      </c>
      <c r="H3" s="23" t="s">
        <v>129</v>
      </c>
      <c r="I3" s="23" t="s">
        <v>130</v>
      </c>
      <c r="J3" s="23" t="s">
        <v>131</v>
      </c>
    </row>
    <row r="4" spans="1:10" x14ac:dyDescent="0.25">
      <c r="A4" s="12" t="s">
        <v>132</v>
      </c>
      <c r="B4" s="13">
        <v>55</v>
      </c>
      <c r="C4" s="13">
        <f>B4*0.40</f>
        <v>22</v>
      </c>
      <c r="D4" s="13">
        <f>B4+C4</f>
        <v>77</v>
      </c>
      <c r="E4" s="14">
        <v>0.15</v>
      </c>
      <c r="F4" s="24">
        <f>D4*(1+E4)</f>
        <v>88.55</v>
      </c>
      <c r="G4" s="25">
        <v>1.5</v>
      </c>
      <c r="H4" s="24">
        <f>F4*G4</f>
        <v>132.825</v>
      </c>
      <c r="I4" s="25">
        <v>2</v>
      </c>
      <c r="J4" s="13">
        <f>F4*I4</f>
        <v>177.1</v>
      </c>
    </row>
    <row r="5" spans="1:10" x14ac:dyDescent="0.25">
      <c r="A5" s="12" t="s">
        <v>133</v>
      </c>
      <c r="B5" s="13">
        <v>45</v>
      </c>
      <c r="C5" s="13">
        <f>B5*0.40</f>
        <v>18</v>
      </c>
      <c r="D5" s="13">
        <f>B5+C5</f>
        <v>62.99999999999999</v>
      </c>
      <c r="E5" s="14">
        <v>0.15</v>
      </c>
      <c r="F5" s="24">
        <f>D5*(1+E5)</f>
        <v>72.44999999999999</v>
      </c>
      <c r="G5" s="25">
        <v>1.5</v>
      </c>
      <c r="H5" s="24">
        <f>F5*G5</f>
        <v>108.67499999999998</v>
      </c>
      <c r="I5" s="25">
        <v>2</v>
      </c>
      <c r="J5" s="13">
        <f>F5*I5</f>
        <v>144.89999999999998</v>
      </c>
    </row>
    <row r="6" spans="1:10" x14ac:dyDescent="0.25">
      <c r="A6" s="12" t="s">
        <v>134</v>
      </c>
      <c r="B6" s="13">
        <v>28</v>
      </c>
      <c r="C6" s="13">
        <f>B6*0.40</f>
        <v>11.200000000000001</v>
      </c>
      <c r="D6" s="13">
        <f>B6+C6</f>
        <v>39.199999999999996</v>
      </c>
      <c r="E6" s="14">
        <v>0.15</v>
      </c>
      <c r="F6" s="24">
        <f>D6*(1+E6)</f>
        <v>45.07999999999999</v>
      </c>
      <c r="G6" s="25">
        <v>1.5</v>
      </c>
      <c r="H6" s="24">
        <f>F6*G6</f>
        <v>67.61999999999999</v>
      </c>
      <c r="I6" s="25">
        <v>2</v>
      </c>
      <c r="J6" s="13">
        <f>F6*I6</f>
        <v>90.15999999999998</v>
      </c>
    </row>
    <row r="7" spans="1:10" x14ac:dyDescent="0.25">
      <c r="A7" s="12" t="s">
        <v>135</v>
      </c>
      <c r="B7" s="13">
        <v>52</v>
      </c>
      <c r="C7" s="13">
        <f>B7*0.40</f>
        <v>20.8</v>
      </c>
      <c r="D7" s="13">
        <f>B7+C7</f>
        <v>72.8</v>
      </c>
      <c r="E7" s="14">
        <v>0.15</v>
      </c>
      <c r="F7" s="24">
        <f>D7*(1+E7)</f>
        <v>83.71999999999998</v>
      </c>
      <c r="G7" s="25">
        <v>1.5</v>
      </c>
      <c r="H7" s="24">
        <f>F7*G7</f>
        <v>125.57999999999998</v>
      </c>
      <c r="I7" s="25">
        <v>2</v>
      </c>
      <c r="J7" s="13">
        <f>F7*I7</f>
        <v>167.43999999999997</v>
      </c>
    </row>
    <row r="8" spans="1:10" x14ac:dyDescent="0.25">
      <c r="A8" s="12" t="s">
        <v>136</v>
      </c>
      <c r="B8" s="13">
        <v>56</v>
      </c>
      <c r="C8" s="13">
        <f>B8*0.40</f>
        <v>22.400000000000002</v>
      </c>
      <c r="D8" s="13">
        <f>B8+C8</f>
        <v>78.39999999999999</v>
      </c>
      <c r="E8" s="14">
        <v>0.15</v>
      </c>
      <c r="F8" s="24">
        <f>D8*(1+E8)</f>
        <v>90.15999999999998</v>
      </c>
      <c r="G8" s="25">
        <v>1.5</v>
      </c>
      <c r="H8" s="24">
        <f>F8*G8</f>
        <v>135.23999999999998</v>
      </c>
      <c r="I8" s="25">
        <v>2</v>
      </c>
      <c r="J8" s="13">
        <f>F8*I8</f>
        <v>180.31999999999996</v>
      </c>
    </row>
    <row r="9" spans="1:10" x14ac:dyDescent="0.25">
      <c r="A9" s="12" t="s">
        <v>137</v>
      </c>
      <c r="B9" s="13">
        <v>38</v>
      </c>
      <c r="C9" s="13">
        <f>B9*0.40</f>
        <v>15.200000000000001</v>
      </c>
      <c r="D9" s="13">
        <f>B9+C9</f>
        <v>53.199999999999996</v>
      </c>
      <c r="E9" s="14">
        <v>0.15</v>
      </c>
      <c r="F9" s="24">
        <f>D9*(1+E9)</f>
        <v>61.17999999999999</v>
      </c>
      <c r="G9" s="25">
        <v>1.5</v>
      </c>
      <c r="H9" s="24">
        <f>F9*G9</f>
        <v>91.76999999999998</v>
      </c>
      <c r="I9" s="25">
        <v>2</v>
      </c>
      <c r="J9" s="13">
        <f>F9*I9</f>
        <v>122.35999999999999</v>
      </c>
    </row>
    <row r="10" spans="1:10" x14ac:dyDescent="0.25">
      <c r="A10" s="12" t="s">
        <v>138</v>
      </c>
      <c r="B10" s="13">
        <v>58</v>
      </c>
      <c r="C10" s="13">
        <f>B10*0.40</f>
        <v>23.200000000000003</v>
      </c>
      <c r="D10" s="13">
        <f>B10+C10</f>
        <v>81.19999999999999</v>
      </c>
      <c r="E10" s="14">
        <v>0.15</v>
      </c>
      <c r="F10" s="24">
        <f>D10*(1+E10)</f>
        <v>93.37999999999998</v>
      </c>
      <c r="G10" s="25">
        <v>1.5</v>
      </c>
      <c r="H10" s="24">
        <f>F10*G10</f>
        <v>140.06999999999996</v>
      </c>
      <c r="I10" s="25">
        <v>2</v>
      </c>
      <c r="J10" s="13">
        <f>F10*I10</f>
        <v>186.75999999999996</v>
      </c>
    </row>
  </sheetData>
  <mergeCells count="1">
    <mergeCell ref="A1:J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RowHeight="15" outlineLevelRow="0" outlineLevelCol="0" x14ac:dyDescent="55"/>
  <cols>
    <col min="1" max="1" width="32" customWidth="1"/>
    <col min="2" max="7" width="18" customWidth="1"/>
  </cols>
  <sheetData>
    <row r="1" spans="1:7" x14ac:dyDescent="0.25">
      <c r="A1" s="1" t="s">
        <v>139</v>
      </c>
      <c r="B1" s="1"/>
      <c r="C1" s="1"/>
      <c r="D1" s="1"/>
      <c r="E1" s="1"/>
      <c r="F1" s="1"/>
      <c r="G1" s="1"/>
    </row>
    <row r="3" ht="24" customHeight="1" spans="1:7" x14ac:dyDescent="0.25">
      <c r="A3" s="23" t="s">
        <v>140</v>
      </c>
      <c r="B3" s="23" t="s">
        <v>141</v>
      </c>
      <c r="C3" s="23" t="s">
        <v>142</v>
      </c>
      <c r="D3" s="23" t="s">
        <v>143</v>
      </c>
      <c r="E3" s="23" t="s">
        <v>144</v>
      </c>
      <c r="F3" s="23" t="s">
        <v>145</v>
      </c>
      <c r="G3" s="23" t="s">
        <v>146</v>
      </c>
    </row>
    <row r="4" spans="1:7" x14ac:dyDescent="0.25">
      <c r="A4" s="12" t="s">
        <v>147</v>
      </c>
      <c r="B4" s="13">
        <v>150</v>
      </c>
      <c r="C4" s="13">
        <f>B4*3.5</f>
        <v>525</v>
      </c>
      <c r="D4" s="13">
        <f>C4*3.0</f>
        <v>1575</v>
      </c>
      <c r="E4" s="13">
        <f>B4/8.0</f>
        <v>18.75</v>
      </c>
      <c r="F4" s="13">
        <f>E4*0.12</f>
        <v>2.25</v>
      </c>
      <c r="G4" s="24">
        <f>E4+F4</f>
        <v>21.000000000000004</v>
      </c>
    </row>
    <row r="5" spans="1:7" x14ac:dyDescent="0.25">
      <c r="A5" s="12" t="s">
        <v>148</v>
      </c>
      <c r="B5" s="13">
        <v>350</v>
      </c>
      <c r="C5" s="13">
        <f>B5*3.5</f>
        <v>1225</v>
      </c>
      <c r="D5" s="13">
        <f>C5*3.0</f>
        <v>3675</v>
      </c>
      <c r="E5" s="13">
        <f>B5/8.0</f>
        <v>43.75</v>
      </c>
      <c r="F5" s="13">
        <f>E5*0.12</f>
        <v>5.25</v>
      </c>
      <c r="G5" s="24">
        <f>E5+F5</f>
        <v>49.00000000000001</v>
      </c>
    </row>
    <row r="6" spans="1:7" x14ac:dyDescent="0.25">
      <c r="A6" s="12" t="s">
        <v>149</v>
      </c>
      <c r="B6" s="13">
        <v>400</v>
      </c>
      <c r="C6" s="13">
        <f>B6*3.5</f>
        <v>1400</v>
      </c>
      <c r="D6" s="13">
        <f>C6*3.0</f>
        <v>4200</v>
      </c>
      <c r="E6" s="13">
        <f>B6/8.0</f>
        <v>50</v>
      </c>
      <c r="F6" s="13">
        <f>E6*0.12</f>
        <v>6</v>
      </c>
      <c r="G6" s="24">
        <f>E6+F6</f>
        <v>56.00000000000001</v>
      </c>
    </row>
    <row r="7" spans="1:7" x14ac:dyDescent="0.25">
      <c r="A7" s="12" t="s">
        <v>150</v>
      </c>
      <c r="B7" s="13">
        <v>220</v>
      </c>
      <c r="C7" s="13">
        <f>B7*3.5</f>
        <v>770</v>
      </c>
      <c r="D7" s="13">
        <f>C7*3.0</f>
        <v>2310</v>
      </c>
      <c r="E7" s="13">
        <f>B7/8.0</f>
        <v>27.5</v>
      </c>
      <c r="F7" s="13">
        <f>E7*0.12</f>
        <v>3.3</v>
      </c>
      <c r="G7" s="24">
        <f>E7+F7</f>
        <v>30.800000000000004</v>
      </c>
    </row>
    <row r="8" spans="1:7" x14ac:dyDescent="0.25">
      <c r="A8" s="12" t="s">
        <v>151</v>
      </c>
      <c r="B8" s="13">
        <v>120</v>
      </c>
      <c r="C8" s="13">
        <f>B8*3.5</f>
        <v>420</v>
      </c>
      <c r="D8" s="13">
        <f>C8*3.0</f>
        <v>1260</v>
      </c>
      <c r="E8" s="13">
        <f>B8/8.0</f>
        <v>15</v>
      </c>
      <c r="F8" s="13">
        <f>E8*0.12</f>
        <v>1.7999999999999998</v>
      </c>
      <c r="G8" s="24">
        <f>E8+F8</f>
        <v>16.8</v>
      </c>
    </row>
    <row r="9" spans="1:7" x14ac:dyDescent="0.25">
      <c r="A9" s="12" t="s">
        <v>152</v>
      </c>
      <c r="B9" s="13">
        <v>180</v>
      </c>
      <c r="C9" s="13">
        <f>B9*3.5</f>
        <v>630</v>
      </c>
      <c r="D9" s="13">
        <f>C9*3.0</f>
        <v>1890</v>
      </c>
      <c r="E9" s="13">
        <f>B9/8.0</f>
        <v>22.5</v>
      </c>
      <c r="F9" s="13">
        <f>E9*0.12</f>
        <v>2.6999999999999997</v>
      </c>
      <c r="G9" s="24">
        <f>E9+F9</f>
        <v>25.200000000000003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/>
  </sheetViews>
  <sheetFormatPr defaultRowHeight="15" outlineLevelRow="0" outlineLevelCol="0" x14ac:dyDescent="55"/>
  <cols>
    <col min="1" max="1" width="14" customWidth="1"/>
    <col min="2" max="2" width="22" customWidth="1"/>
    <col min="3" max="3" width="35" customWidth="1"/>
    <col min="4" max="4" width="16" customWidth="1"/>
    <col min="5" max="6" width="14" customWidth="1"/>
    <col min="7" max="7" width="16" customWidth="1"/>
    <col min="8" max="8" width="14" customWidth="1"/>
    <col min="9" max="9" width="16" customWidth="1"/>
    <col min="10" max="10" width="18" customWidth="1"/>
  </cols>
  <sheetData>
    <row r="1" spans="1:10" x14ac:dyDescent="0.25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</row>
    <row r="3" ht="24" customHeight="1" spans="1:10" x14ac:dyDescent="0.25">
      <c r="A3" s="23" t="s">
        <v>35</v>
      </c>
      <c r="B3" s="23" t="s">
        <v>154</v>
      </c>
      <c r="C3" s="23" t="s">
        <v>155</v>
      </c>
      <c r="D3" s="23" t="s">
        <v>156</v>
      </c>
      <c r="E3" s="23" t="s">
        <v>157</v>
      </c>
      <c r="F3" s="23" t="s">
        <v>158</v>
      </c>
      <c r="G3" s="23" t="s">
        <v>159</v>
      </c>
      <c r="H3" s="23" t="s">
        <v>160</v>
      </c>
      <c r="I3" s="23" t="s">
        <v>126</v>
      </c>
      <c r="J3" s="23" t="s">
        <v>161</v>
      </c>
    </row>
    <row r="4" spans="1:10" x14ac:dyDescent="0.25">
      <c r="A4" s="12" t="s">
        <v>47</v>
      </c>
      <c r="B4" s="12" t="s">
        <v>162</v>
      </c>
      <c r="C4" s="12" t="s">
        <v>163</v>
      </c>
      <c r="D4" s="13">
        <v>1000</v>
      </c>
      <c r="E4" s="13">
        <f>D4*0.05</f>
        <v>50</v>
      </c>
      <c r="F4" s="26">
        <v>0.08875</v>
      </c>
      <c r="G4" s="13">
        <f>(D4+E4)*F4</f>
        <v>93.1875</v>
      </c>
      <c r="H4" s="13">
        <f>D4+E4+G4</f>
        <v>1143.1875</v>
      </c>
      <c r="I4" s="26">
        <v>0.15</v>
      </c>
      <c r="J4" s="24">
        <f>H4*(1+I4)</f>
        <v>1314.6656249999999</v>
      </c>
    </row>
    <row r="5" spans="1:10" x14ac:dyDescent="0.25">
      <c r="A5" s="12" t="s">
        <v>54</v>
      </c>
      <c r="B5" s="12" t="s">
        <v>164</v>
      </c>
      <c r="C5" s="12" t="s">
        <v>165</v>
      </c>
      <c r="D5" s="13">
        <v>250</v>
      </c>
      <c r="E5" s="13">
        <f>D5*0.05</f>
        <v>12.5</v>
      </c>
      <c r="F5" s="26">
        <v>0.08875</v>
      </c>
      <c r="G5" s="13">
        <f>(D5+E5)*F5</f>
        <v>23.296875</v>
      </c>
      <c r="H5" s="13">
        <f>D5+E5+G5</f>
        <v>285.796875</v>
      </c>
      <c r="I5" s="26">
        <v>0.15</v>
      </c>
      <c r="J5" s="24">
        <f>H5*(1+I5)</f>
        <v>328.66640624999997</v>
      </c>
    </row>
    <row r="6" spans="1:10" x14ac:dyDescent="0.25">
      <c r="A6" s="12" t="s">
        <v>59</v>
      </c>
      <c r="B6" s="12" t="s">
        <v>166</v>
      </c>
      <c r="C6" s="12" t="s">
        <v>167</v>
      </c>
      <c r="D6" s="13">
        <v>390</v>
      </c>
      <c r="E6" s="13">
        <f>D6*0.05</f>
        <v>19.5</v>
      </c>
      <c r="F6" s="26">
        <v>0.08875</v>
      </c>
      <c r="G6" s="13">
        <f>(D6+E6)*F6</f>
        <v>36.343125</v>
      </c>
      <c r="H6" s="13">
        <f>D6+E6+G6</f>
        <v>445.84312500000004</v>
      </c>
      <c r="I6" s="26">
        <v>0.15</v>
      </c>
      <c r="J6" s="24">
        <f>H6*(1+I6)</f>
        <v>512.7195937500001</v>
      </c>
    </row>
    <row r="7" spans="1:10" x14ac:dyDescent="0.25">
      <c r="A7" s="12" t="s">
        <v>66</v>
      </c>
      <c r="B7" s="12" t="s">
        <v>168</v>
      </c>
      <c r="C7" s="12" t="s">
        <v>169</v>
      </c>
      <c r="D7" s="13">
        <v>720</v>
      </c>
      <c r="E7" s="13">
        <f>D7*0.05</f>
        <v>36</v>
      </c>
      <c r="F7" s="26">
        <v>0.08875</v>
      </c>
      <c r="G7" s="13">
        <f>(D7+E7)*F7</f>
        <v>67.095</v>
      </c>
      <c r="H7" s="13">
        <f>D7+E7+G7</f>
        <v>823.095</v>
      </c>
      <c r="I7" s="26">
        <v>0.15</v>
      </c>
      <c r="J7" s="24">
        <f>H7*(1+I7)</f>
        <v>946.5592499999999</v>
      </c>
    </row>
    <row r="8" spans="1:10" x14ac:dyDescent="0.25">
      <c r="A8" s="12" t="s">
        <v>72</v>
      </c>
      <c r="B8" s="12" t="s">
        <v>170</v>
      </c>
      <c r="C8" s="12" t="s">
        <v>171</v>
      </c>
      <c r="D8" s="13">
        <v>1700</v>
      </c>
      <c r="E8" s="13">
        <f>D8*0.05</f>
        <v>85</v>
      </c>
      <c r="F8" s="26">
        <v>0.08875</v>
      </c>
      <c r="G8" s="13">
        <f>(D8+E8)*F8</f>
        <v>158.41875</v>
      </c>
      <c r="H8" s="13">
        <f>D8+E8+G8</f>
        <v>1943.4187500000003</v>
      </c>
      <c r="I8" s="26">
        <v>0.15</v>
      </c>
      <c r="J8" s="24">
        <f>H8*(1+I8)</f>
        <v>2234.9315625</v>
      </c>
    </row>
    <row r="9" spans="1:10" x14ac:dyDescent="0.25">
      <c r="A9" s="15" t="s">
        <v>120</v>
      </c>
      <c r="D9" s="16">
        <f>SUM(D4:D8)</f>
        <v>4060</v>
      </c>
      <c r="E9" s="16">
        <f>SUM(E4:E8)</f>
        <v>203</v>
      </c>
      <c r="G9" s="16">
        <f>SUM(G4:G8)</f>
        <v>378.34</v>
      </c>
      <c r="H9" s="16">
        <f>SUM(H4:H8)</f>
        <v>4641.34</v>
      </c>
      <c r="J9" s="16">
        <f>SUM(J4:J8)</f>
        <v>5337.54</v>
      </c>
    </row>
  </sheetData>
  <mergeCells count="1">
    <mergeCell ref="A1:J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RowHeight="15" outlineLevelRow="0" outlineLevelCol="0" x14ac:dyDescent="55"/>
  <cols>
    <col min="1" max="1" width="10" customWidth="1"/>
    <col min="2" max="2" width="16" customWidth="1"/>
    <col min="3" max="3" width="35" customWidth="1"/>
    <col min="4" max="4" width="22" customWidth="1"/>
    <col min="5" max="8" width="16" customWidth="1"/>
  </cols>
  <sheetData>
    <row r="1" spans="1:8" x14ac:dyDescent="0.25">
      <c r="A1" s="1" t="s">
        <v>172</v>
      </c>
      <c r="B1" s="1"/>
      <c r="C1" s="1"/>
      <c r="D1" s="1"/>
      <c r="E1" s="1"/>
      <c r="F1" s="1"/>
      <c r="G1" s="1"/>
      <c r="H1" s="1"/>
    </row>
    <row r="3" ht="24" customHeight="1" spans="1:8" x14ac:dyDescent="0.25">
      <c r="A3" s="23" t="s">
        <v>173</v>
      </c>
      <c r="B3" s="23" t="s">
        <v>35</v>
      </c>
      <c r="C3" s="23" t="s">
        <v>174</v>
      </c>
      <c r="D3" s="23" t="s">
        <v>175</v>
      </c>
      <c r="E3" s="23" t="s">
        <v>176</v>
      </c>
      <c r="F3" s="23" t="s">
        <v>177</v>
      </c>
      <c r="G3" s="23" t="s">
        <v>178</v>
      </c>
      <c r="H3" s="23" t="s">
        <v>179</v>
      </c>
    </row>
    <row r="4" spans="1:8" x14ac:dyDescent="0.25">
      <c r="A4" s="12">
        <v>1</v>
      </c>
      <c r="B4" s="12">
        <f>'Master T&amp;M Ticket Log'!A4</f>
      </c>
      <c r="C4" s="12">
        <f>'Master T&amp;M Ticket Log'!E4</f>
      </c>
      <c r="D4" s="12">
        <f>'Master T&amp;M Ticket Log'!C4</f>
      </c>
      <c r="E4" s="13">
        <f>'Master T&amp;M Ticket Log'!J4</f>
      </c>
      <c r="F4" s="13">
        <f>E4*0.05</f>
      </c>
      <c r="G4" s="13">
        <f>E4-F4</f>
      </c>
      <c r="H4" s="12">
        <f>'Master T&amp;M Ticket Log'!K4</f>
      </c>
    </row>
    <row r="5" spans="1:8" x14ac:dyDescent="0.25">
      <c r="A5" s="12">
        <v>2</v>
      </c>
      <c r="B5" s="12">
        <f>'Master T&amp;M Ticket Log'!A5</f>
      </c>
      <c r="C5" s="12">
        <f>'Master T&amp;M Ticket Log'!E5</f>
      </c>
      <c r="D5" s="12">
        <f>'Master T&amp;M Ticket Log'!C5</f>
      </c>
      <c r="E5" s="13">
        <f>'Master T&amp;M Ticket Log'!J5</f>
      </c>
      <c r="F5" s="13">
        <f>E5*0.05</f>
      </c>
      <c r="G5" s="13">
        <f>E5-F5</f>
      </c>
      <c r="H5" s="12">
        <f>'Master T&amp;M Ticket Log'!K5</f>
      </c>
    </row>
    <row r="6" spans="1:8" x14ac:dyDescent="0.25">
      <c r="A6" s="12">
        <v>3</v>
      </c>
      <c r="B6" s="12">
        <f>'Master T&amp;M Ticket Log'!A6</f>
      </c>
      <c r="C6" s="12">
        <f>'Master T&amp;M Ticket Log'!E6</f>
      </c>
      <c r="D6" s="12">
        <f>'Master T&amp;M Ticket Log'!C6</f>
      </c>
      <c r="E6" s="13">
        <f>'Master T&amp;M Ticket Log'!J6</f>
      </c>
      <c r="F6" s="13">
        <f>E6*0.05</f>
      </c>
      <c r="G6" s="13">
        <f>E6-F6</f>
      </c>
      <c r="H6" s="12">
        <f>'Master T&amp;M Ticket Log'!K6</f>
      </c>
    </row>
    <row r="7" spans="1:8" x14ac:dyDescent="0.25">
      <c r="A7" s="12">
        <v>4</v>
      </c>
      <c r="B7" s="12">
        <f>'Master T&amp;M Ticket Log'!A7</f>
      </c>
      <c r="C7" s="12">
        <f>'Master T&amp;M Ticket Log'!E7</f>
      </c>
      <c r="D7" s="12">
        <f>'Master T&amp;M Ticket Log'!C7</f>
      </c>
      <c r="E7" s="13">
        <f>'Master T&amp;M Ticket Log'!J7</f>
      </c>
      <c r="F7" s="13">
        <f>E7*0.05</f>
      </c>
      <c r="G7" s="13">
        <f>E7-F7</f>
      </c>
      <c r="H7" s="12">
        <f>'Master T&amp;M Ticket Log'!K7</f>
      </c>
    </row>
    <row r="8" spans="1:8" x14ac:dyDescent="0.25">
      <c r="A8" s="12">
        <v>5</v>
      </c>
      <c r="B8" s="12">
        <f>'Master T&amp;M Ticket Log'!A8</f>
      </c>
      <c r="C8" s="12">
        <f>'Master T&amp;M Ticket Log'!E8</f>
      </c>
      <c r="D8" s="12">
        <f>'Master T&amp;M Ticket Log'!C8</f>
      </c>
      <c r="E8" s="13">
        <f>'Master T&amp;M Ticket Log'!J8</f>
      </c>
      <c r="F8" s="13">
        <f>E8*0.05</f>
      </c>
      <c r="G8" s="13">
        <f>E8-F8</f>
      </c>
      <c r="H8" s="12">
        <f>'Master T&amp;M Ticket Log'!K8</f>
      </c>
    </row>
    <row r="9" spans="1:8" x14ac:dyDescent="0.25">
      <c r="A9" s="12">
        <v>6</v>
      </c>
      <c r="B9" s="12">
        <f>'Master T&amp;M Ticket Log'!A9</f>
      </c>
      <c r="C9" s="12">
        <f>'Master T&amp;M Ticket Log'!E9</f>
      </c>
      <c r="D9" s="12">
        <f>'Master T&amp;M Ticket Log'!C9</f>
      </c>
      <c r="E9" s="13">
        <f>'Master T&amp;M Ticket Log'!J9</f>
      </c>
      <c r="F9" s="13">
        <f>E9*0.05</f>
      </c>
      <c r="G9" s="13">
        <f>E9-F9</f>
      </c>
      <c r="H9" s="12">
        <f>'Master T&amp;M Ticket Log'!K9</f>
      </c>
    </row>
    <row r="10" spans="1:8" x14ac:dyDescent="0.25">
      <c r="A10" s="12">
        <v>7</v>
      </c>
      <c r="B10" s="12">
        <f>'Master T&amp;M Ticket Log'!A10</f>
      </c>
      <c r="C10" s="12">
        <f>'Master T&amp;M Ticket Log'!E10</f>
      </c>
      <c r="D10" s="12">
        <f>'Master T&amp;M Ticket Log'!C10</f>
      </c>
      <c r="E10" s="13">
        <f>'Master T&amp;M Ticket Log'!J10</f>
      </c>
      <c r="F10" s="13">
        <f>E10*0.05</f>
      </c>
      <c r="G10" s="13">
        <f>E10-F10</f>
      </c>
      <c r="H10" s="12">
        <f>'Master T&amp;M Ticket Log'!K10</f>
      </c>
    </row>
    <row r="11" spans="1:8" x14ac:dyDescent="0.25">
      <c r="A11" s="12">
        <v>8</v>
      </c>
      <c r="B11" s="12">
        <f>'Master T&amp;M Ticket Log'!A11</f>
      </c>
      <c r="C11" s="12">
        <f>'Master T&amp;M Ticket Log'!E11</f>
      </c>
      <c r="D11" s="12">
        <f>'Master T&amp;M Ticket Log'!C11</f>
      </c>
      <c r="E11" s="13">
        <f>'Master T&amp;M Ticket Log'!J11</f>
      </c>
      <c r="F11" s="13">
        <f>E11*0.05</f>
      </c>
      <c r="G11" s="13">
        <f>E11-F11</f>
      </c>
      <c r="H11" s="12">
        <f>'Master T&amp;M Ticket Log'!K11</f>
      </c>
    </row>
    <row r="12" spans="1:8" x14ac:dyDescent="0.25">
      <c r="A12" s="12">
        <v>9</v>
      </c>
      <c r="B12" s="12">
        <f>'Master T&amp;M Ticket Log'!A12</f>
      </c>
      <c r="C12" s="12">
        <f>'Master T&amp;M Ticket Log'!E12</f>
      </c>
      <c r="D12" s="12">
        <f>'Master T&amp;M Ticket Log'!C12</f>
      </c>
      <c r="E12" s="13">
        <f>'Master T&amp;M Ticket Log'!J12</f>
      </c>
      <c r="F12" s="13">
        <f>E12*0.05</f>
      </c>
      <c r="G12" s="13">
        <f>E12-F12</f>
      </c>
      <c r="H12" s="12">
        <f>'Master T&amp;M Ticket Log'!K12</f>
      </c>
    </row>
    <row r="13" spans="1:8" x14ac:dyDescent="0.25">
      <c r="A13" s="12">
        <v>10</v>
      </c>
      <c r="B13" s="12">
        <f>'Master T&amp;M Ticket Log'!A13</f>
      </c>
      <c r="C13" s="12">
        <f>'Master T&amp;M Ticket Log'!E13</f>
      </c>
      <c r="D13" s="12">
        <f>'Master T&amp;M Ticket Log'!C13</f>
      </c>
      <c r="E13" s="13">
        <f>'Master T&amp;M Ticket Log'!J13</f>
      </c>
      <c r="F13" s="13">
        <f>E13*0.05</f>
      </c>
      <c r="G13" s="13">
        <f>E13-F13</f>
      </c>
      <c r="H13" s="12">
        <f>'Master T&amp;M Ticket Log'!K13</f>
      </c>
    </row>
    <row r="14" spans="1:7" x14ac:dyDescent="0.25">
      <c r="A14" s="15" t="s">
        <v>120</v>
      </c>
      <c r="E14" s="16">
        <f>SUM(E4:E13)</f>
      </c>
      <c r="F14" s="16">
        <f>SUM(F4:F13)</f>
      </c>
      <c r="G14" s="16">
        <f>SUM(G4:G13)</f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Executive Dashboard</vt:lpstr>
      <vt:lpstr>Master T&amp;M Ticket Log</vt:lpstr>
      <vt:lpstr>Labor Rates &amp; Calculator</vt:lpstr>
      <vt:lpstr>Equipment Rates</vt:lpstr>
      <vt:lpstr>Materials &amp; Markups</vt:lpstr>
      <vt:lpstr>Pay App Attachment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TrakSlip Construction Software</dc:creator>
  <dc:title/>
  <dc:subject/>
  <dc:description/>
  <cp:keywords/>
  <cp:category/>
  <cp:lastModifiedBy>TrakSlip Automated Engine</cp:lastModifiedBy>
  <dcterms:created xsi:type="dcterms:W3CDTF">2026-08-12T00:22:32Z</dcterms:created>
  <dcterms:modified xsi:type="dcterms:W3CDTF">2026-08-12T00:22:32Z</dcterms:modified>
</cp:coreProperties>
</file>